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9" i="1" l="1"/>
  <c r="P19" i="1"/>
  <c r="P17" i="1"/>
  <c r="P16" i="1"/>
  <c r="P14" i="1"/>
  <c r="G14" i="1"/>
  <c r="AD19" i="1"/>
  <c r="AB18" i="1"/>
  <c r="N18" i="1" s="1"/>
  <c r="AB16" i="1"/>
  <c r="N16" i="1" s="1"/>
  <c r="AB15" i="1"/>
  <c r="N15" i="1" s="1"/>
  <c r="AB14" i="1"/>
  <c r="N14" i="1" s="1"/>
  <c r="AE17" i="1"/>
  <c r="Q17" i="1" s="1"/>
  <c r="AD17" i="1"/>
  <c r="AC17" i="1"/>
  <c r="O17" i="1" s="1"/>
  <c r="AE16" i="1"/>
  <c r="AD16" i="1"/>
  <c r="AC16" i="1"/>
  <c r="O16" i="1" s="1"/>
  <c r="AE14" i="1"/>
  <c r="Q14" i="1" s="1"/>
  <c r="AD14" i="1"/>
  <c r="AC14" i="1"/>
  <c r="O14" i="1" s="1"/>
  <c r="W19" i="1"/>
  <c r="X19" i="1"/>
  <c r="Y19" i="1"/>
  <c r="Z19" i="1"/>
  <c r="S19" i="1"/>
  <c r="S17" i="1"/>
  <c r="S16" i="1"/>
  <c r="S14" i="1"/>
  <c r="T19" i="1"/>
  <c r="T17" i="1"/>
  <c r="T16" i="1"/>
  <c r="T14" i="1"/>
  <c r="R19" i="1"/>
  <c r="R18" i="1"/>
  <c r="R16" i="1"/>
  <c r="R15" i="1"/>
  <c r="R14" i="1"/>
  <c r="V19" i="1"/>
  <c r="M19" i="1"/>
  <c r="L19" i="1"/>
  <c r="K19" i="1"/>
  <c r="J19" i="1"/>
  <c r="F18" i="1"/>
  <c r="E18" i="1"/>
  <c r="F14" i="1"/>
  <c r="E14" i="1"/>
  <c r="E16" i="1"/>
  <c r="E15" i="1"/>
  <c r="E6" i="1"/>
  <c r="E5" i="1"/>
  <c r="E4" i="1"/>
  <c r="E8" i="1"/>
  <c r="E7" i="1"/>
  <c r="F16" i="1"/>
  <c r="F15" i="1"/>
  <c r="H17" i="1"/>
  <c r="G17" i="1"/>
  <c r="G19" i="1" s="1"/>
  <c r="I19" i="1"/>
  <c r="G9" i="1"/>
  <c r="H9" i="1"/>
  <c r="I9" i="1"/>
  <c r="F9" i="1"/>
  <c r="O19" i="1" l="1"/>
  <c r="Q19" i="1"/>
  <c r="AE19" i="1"/>
  <c r="AC19" i="1"/>
  <c r="N19" i="1"/>
  <c r="AB19" i="1"/>
  <c r="E19" i="1"/>
  <c r="E9" i="1"/>
  <c r="F19" i="1"/>
</calcChain>
</file>

<file path=xl/sharedStrings.xml><?xml version="1.0" encoding="utf-8"?>
<sst xmlns="http://schemas.openxmlformats.org/spreadsheetml/2006/main" count="94" uniqueCount="53">
  <si>
    <t>Train</t>
  </si>
  <si>
    <t>Route</t>
  </si>
  <si>
    <t>No</t>
  </si>
  <si>
    <t>GEN</t>
  </si>
  <si>
    <t>SL</t>
  </si>
  <si>
    <t>3A</t>
  </si>
  <si>
    <t>2A</t>
  </si>
  <si>
    <t>1A</t>
  </si>
  <si>
    <t>NDLS-CNB-LKO-GKP-SV-CPR-HJP-MFP-SPJ-DBG</t>
  </si>
  <si>
    <t>Composition</t>
  </si>
  <si>
    <t>Gen (4), SL (13), 3A (1), 2A (2), 1A (1)</t>
  </si>
  <si>
    <t>Sapt Kranti SF Exp</t>
  </si>
  <si>
    <t>ANVT-MB-LKO-GKP-NKE-BMKI-MFP</t>
  </si>
  <si>
    <t>NDLS-CNB-LKO-GKP-SV-CPR-HJP-MFP-SPJ-BJU</t>
  </si>
  <si>
    <t>Gen (5), SL (11), 3A (3), 2A (1), 1A (1)</t>
  </si>
  <si>
    <t>Gen (3), SL (9), 3A (3), 2A (2.5), 1A (1.5)</t>
  </si>
  <si>
    <t>Bihar Sampark Kranti SF Exp</t>
  </si>
  <si>
    <t>NDLS-CNB-ALD-BSB-BUI-CPR-HJP-MFP-SPJ-DBG-JYG</t>
  </si>
  <si>
    <t>Gen (3), SL (11), 3A (2), 2(2), 1A (1)</t>
  </si>
  <si>
    <t>Licchavi Exp</t>
  </si>
  <si>
    <t>ANVT-CNB-ALD-BSB-MAU-BTT-SV-CPR-HJP-MFP-SMI</t>
  </si>
  <si>
    <t>Gen (6), SL (12), 3A (2), 2A (1)</t>
  </si>
  <si>
    <t>GN Quota Seats</t>
  </si>
  <si>
    <t>Vaishali SF Exp (LHB)</t>
  </si>
  <si>
    <t>Swatatrata Senani SF Exp (LHB)</t>
  </si>
  <si>
    <t>Gen (21), SL (56), 3A (11), 2A (8.5), 1A (4.5)</t>
  </si>
  <si>
    <t>Total</t>
  </si>
  <si>
    <t>Current Scenerio</t>
  </si>
  <si>
    <t>Proposed Scenerio</t>
  </si>
  <si>
    <t>GEN (8), SL (14), SLR (2)</t>
  </si>
  <si>
    <t>Gen (7), SL (10), 3A (2), 2A (1.5), 1A (0.5), PC (1), SLR (2)</t>
  </si>
  <si>
    <t>Gen (4), SL (11), 3A (2), 2A(2), 1A (2), PC (1), SLR (2)</t>
  </si>
  <si>
    <t>GEN (16), SL (6), EOG (2)</t>
  </si>
  <si>
    <t>TQ quota</t>
  </si>
  <si>
    <t>Intermediate</t>
  </si>
  <si>
    <t>SS quota</t>
  </si>
  <si>
    <t>VIP Quota</t>
  </si>
  <si>
    <t>Ladies + HP Quota</t>
  </si>
  <si>
    <t>Total except intermediate</t>
  </si>
  <si>
    <t>3A (10), 2A (6), 1A (3), PC (1), EOG (2)</t>
  </si>
  <si>
    <t>9 seats i.e. 18 RAC in each ICF SL class</t>
  </si>
  <si>
    <t>10 seats i.e. 20 RAC in each LHB SL class</t>
  </si>
  <si>
    <t>3 seats i.e. 6 RAC in each 2A class</t>
  </si>
  <si>
    <t>4 seats i.e. 8 RAC in each 3A class</t>
  </si>
  <si>
    <t>RAC seats left (distribution yet to be decided)</t>
  </si>
  <si>
    <t>Assumptions:</t>
  </si>
  <si>
    <t>1. Since, 12562 Exp departs last from Delhi, it will carry people "non white color" job, after rigorous office. Since it runs a huge part via grand</t>
  </si>
  <si>
    <t>main line till ALD/ BSB, it may not require AC classes as lots of premier AC trains are available in that route. Finally it is meeting with route of  12554 Exp</t>
  </si>
  <si>
    <t>2. 14006 is for common middle class people, almost floowing route of 12562 Exp</t>
  </si>
  <si>
    <t>3. Since departure timing of 12554 exp is perfect after Govt/ private office and it runs almost parallel to grand main line (after CNB) and continues till Barauni</t>
  </si>
  <si>
    <t>it amy be made fully AC</t>
  </si>
  <si>
    <t>4. 12566 is a day time train, so it is provided with mixed rake.</t>
  </si>
  <si>
    <t>5. Since, route of 12558 is different from all the above, it is also provided with mixed rake.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</si>
</sst>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1" fillId="5" borderId="1" xfId="0" applyFont="1" applyFill="1" applyBorder="1" applyAlignment="1">
      <alignment horizontal="center"/>
    </xf>
    <xf numFmtId="0" fontId="0" fillId="5" borderId="1" xfId="0" applyFill="1" applyBorder="1"/>
    <xf numFmtId="0" fontId="1" fillId="6" borderId="1" xfId="0" applyFont="1" applyFill="1" applyBorder="1" applyAlignment="1">
      <alignment horizontal="center"/>
    </xf>
    <xf numFmtId="0" fontId="0" fillId="6" borderId="1" xfId="0" applyFill="1" applyBorder="1"/>
    <xf numFmtId="0" fontId="0" fillId="0" borderId="1" xfId="0" applyBorder="1" applyAlignment="1"/>
    <xf numFmtId="0" fontId="0" fillId="7" borderId="1" xfId="0" applyFill="1" applyBorder="1"/>
    <xf numFmtId="0" fontId="1" fillId="7" borderId="1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8" borderId="5" xfId="0" applyFill="1" applyBorder="1"/>
    <xf numFmtId="0" fontId="0" fillId="8" borderId="1" xfId="0" applyFill="1" applyBorder="1"/>
    <xf numFmtId="0" fontId="1" fillId="9" borderId="1" xfId="0" applyFont="1" applyFill="1" applyBorder="1" applyAlignment="1">
      <alignment horizontal="center"/>
    </xf>
    <xf numFmtId="0" fontId="0" fillId="9" borderId="1" xfId="0" applyFill="1" applyBorder="1"/>
    <xf numFmtId="1" fontId="0" fillId="9" borderId="1" xfId="0" applyNumberFormat="1" applyFill="1" applyBorder="1"/>
    <xf numFmtId="0" fontId="0" fillId="9" borderId="2" xfId="0" applyFill="1" applyBorder="1"/>
    <xf numFmtId="0" fontId="2" fillId="10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6"/>
  <sheetViews>
    <sheetView tabSelected="1" topLeftCell="E4" workbookViewId="0">
      <selection activeCell="Q17" sqref="Q17"/>
    </sheetView>
  </sheetViews>
  <sheetFormatPr defaultRowHeight="15" x14ac:dyDescent="0.25"/>
  <cols>
    <col min="1" max="1" width="6" bestFit="1" customWidth="1"/>
    <col min="2" max="2" width="28.5703125" bestFit="1" customWidth="1"/>
    <col min="3" max="3" width="47.42578125" bestFit="1" customWidth="1"/>
    <col min="4" max="4" width="48" customWidth="1"/>
    <col min="5" max="5" width="6" bestFit="1" customWidth="1"/>
    <col min="6" max="6" width="5" bestFit="1" customWidth="1"/>
    <col min="7" max="8" width="4" bestFit="1" customWidth="1"/>
    <col min="9" max="9" width="3.28515625" bestFit="1" customWidth="1"/>
    <col min="10" max="10" width="5" bestFit="1" customWidth="1"/>
    <col min="11" max="12" width="4" bestFit="1" customWidth="1"/>
    <col min="13" max="13" width="3.28515625" bestFit="1" customWidth="1"/>
    <col min="14" max="14" width="4" bestFit="1" customWidth="1"/>
    <col min="15" max="17" width="3.28515625" bestFit="1" customWidth="1"/>
    <col min="18" max="18" width="4" bestFit="1" customWidth="1"/>
    <col min="19" max="21" width="3.28515625" bestFit="1" customWidth="1"/>
    <col min="22" max="22" width="16.85546875" bestFit="1" customWidth="1"/>
    <col min="23" max="23" width="4" bestFit="1" customWidth="1"/>
    <col min="24" max="26" width="3.28515625" bestFit="1" customWidth="1"/>
  </cols>
  <sheetData>
    <row r="2" spans="1:31" x14ac:dyDescent="0.25">
      <c r="A2" s="1"/>
      <c r="B2" s="1"/>
      <c r="C2" s="5" t="s">
        <v>27</v>
      </c>
      <c r="D2" s="1"/>
      <c r="E2" s="17"/>
      <c r="F2" s="9" t="s">
        <v>22</v>
      </c>
      <c r="G2" s="9"/>
      <c r="H2" s="9"/>
      <c r="I2" s="10"/>
    </row>
    <row r="3" spans="1:31" x14ac:dyDescent="0.25">
      <c r="A3" s="3" t="s">
        <v>2</v>
      </c>
      <c r="B3" s="3" t="s">
        <v>0</v>
      </c>
      <c r="C3" s="3" t="s">
        <v>1</v>
      </c>
      <c r="D3" s="3" t="s">
        <v>9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1:31" x14ac:dyDescent="0.25">
      <c r="A4" s="1">
        <v>12566</v>
      </c>
      <c r="B4" s="1" t="s">
        <v>16</v>
      </c>
      <c r="C4" s="1" t="s">
        <v>8</v>
      </c>
      <c r="D4" s="1" t="s">
        <v>10</v>
      </c>
      <c r="E4" s="1">
        <f>(280*4)</f>
        <v>1120</v>
      </c>
      <c r="F4" s="1">
        <v>376</v>
      </c>
      <c r="G4" s="1">
        <v>8</v>
      </c>
      <c r="H4" s="1">
        <v>17</v>
      </c>
      <c r="I4" s="1">
        <v>12</v>
      </c>
    </row>
    <row r="5" spans="1:31" x14ac:dyDescent="0.25">
      <c r="A5" s="1">
        <v>14006</v>
      </c>
      <c r="B5" s="1" t="s">
        <v>19</v>
      </c>
      <c r="C5" s="1" t="s">
        <v>20</v>
      </c>
      <c r="D5" s="1" t="s">
        <v>21</v>
      </c>
      <c r="E5" s="1">
        <f>(280*6)</f>
        <v>1680</v>
      </c>
      <c r="F5" s="1">
        <v>332</v>
      </c>
      <c r="G5" s="1">
        <v>33</v>
      </c>
      <c r="H5" s="1">
        <v>9</v>
      </c>
      <c r="I5" s="1">
        <v>0</v>
      </c>
    </row>
    <row r="6" spans="1:31" x14ac:dyDescent="0.25">
      <c r="A6" s="1">
        <v>12558</v>
      </c>
      <c r="B6" s="1" t="s">
        <v>11</v>
      </c>
      <c r="C6" s="1" t="s">
        <v>12</v>
      </c>
      <c r="D6" s="1" t="s">
        <v>14</v>
      </c>
      <c r="E6" s="1">
        <f>(280*5)</f>
        <v>1400</v>
      </c>
      <c r="F6" s="1">
        <v>339</v>
      </c>
      <c r="G6" s="1">
        <v>86</v>
      </c>
      <c r="H6" s="1">
        <v>12</v>
      </c>
      <c r="I6" s="1">
        <v>14</v>
      </c>
    </row>
    <row r="7" spans="1:31" x14ac:dyDescent="0.25">
      <c r="A7" s="1">
        <v>12554</v>
      </c>
      <c r="B7" s="1" t="s">
        <v>23</v>
      </c>
      <c r="C7" s="1" t="s">
        <v>13</v>
      </c>
      <c r="D7" s="1" t="s">
        <v>15</v>
      </c>
      <c r="E7" s="1">
        <f>(300*3)</f>
        <v>900</v>
      </c>
      <c r="F7" s="1">
        <v>296</v>
      </c>
      <c r="G7" s="1">
        <v>94</v>
      </c>
      <c r="H7" s="1">
        <v>43</v>
      </c>
      <c r="I7" s="1">
        <v>22</v>
      </c>
    </row>
    <row r="8" spans="1:31" x14ac:dyDescent="0.25">
      <c r="A8" s="1">
        <v>12562</v>
      </c>
      <c r="B8" s="1" t="s">
        <v>24</v>
      </c>
      <c r="C8" s="1" t="s">
        <v>17</v>
      </c>
      <c r="D8" s="1" t="s">
        <v>18</v>
      </c>
      <c r="E8" s="1">
        <f>(300*3)</f>
        <v>900</v>
      </c>
      <c r="F8" s="1">
        <v>404</v>
      </c>
      <c r="G8" s="1">
        <v>66</v>
      </c>
      <c r="H8" s="1">
        <v>45</v>
      </c>
      <c r="I8" s="1">
        <v>15</v>
      </c>
    </row>
    <row r="9" spans="1:31" x14ac:dyDescent="0.25">
      <c r="A9" s="1"/>
      <c r="B9" s="1"/>
      <c r="C9" s="5" t="s">
        <v>26</v>
      </c>
      <c r="D9" s="4" t="s">
        <v>25</v>
      </c>
      <c r="E9" s="1">
        <f>SUM(E4:E8)</f>
        <v>6000</v>
      </c>
      <c r="F9" s="1">
        <f>SUM(F4:F8)</f>
        <v>1747</v>
      </c>
      <c r="G9" s="1">
        <f t="shared" ref="G9:I9" si="0">SUM(G4:G8)</f>
        <v>287</v>
      </c>
      <c r="H9" s="1">
        <f t="shared" si="0"/>
        <v>126</v>
      </c>
      <c r="I9" s="1">
        <f t="shared" si="0"/>
        <v>63</v>
      </c>
    </row>
    <row r="12" spans="1:31" x14ac:dyDescent="0.25">
      <c r="A12" s="1"/>
      <c r="B12" s="1"/>
      <c r="C12" s="5" t="s">
        <v>28</v>
      </c>
      <c r="D12" s="1"/>
      <c r="E12" s="17"/>
      <c r="F12" s="9" t="s">
        <v>22</v>
      </c>
      <c r="G12" s="9"/>
      <c r="H12" s="9"/>
      <c r="I12" s="10"/>
      <c r="J12" s="8" t="s">
        <v>33</v>
      </c>
      <c r="K12" s="9"/>
      <c r="L12" s="9"/>
      <c r="M12" s="10"/>
      <c r="N12" s="8" t="s">
        <v>34</v>
      </c>
      <c r="O12" s="9"/>
      <c r="P12" s="9"/>
      <c r="Q12" s="10"/>
      <c r="R12" s="8" t="s">
        <v>35</v>
      </c>
      <c r="S12" s="9"/>
      <c r="T12" s="9"/>
      <c r="U12" s="10"/>
      <c r="V12" s="18" t="s">
        <v>37</v>
      </c>
      <c r="W12" s="2" t="s">
        <v>36</v>
      </c>
      <c r="X12" s="2"/>
      <c r="Y12" s="2"/>
      <c r="Z12" s="2"/>
      <c r="AB12" s="2" t="s">
        <v>38</v>
      </c>
      <c r="AC12" s="2"/>
      <c r="AD12" s="2"/>
      <c r="AE12" s="2"/>
    </row>
    <row r="13" spans="1:31" x14ac:dyDescent="0.25">
      <c r="A13" s="3" t="s">
        <v>2</v>
      </c>
      <c r="B13" s="3" t="s">
        <v>0</v>
      </c>
      <c r="C13" s="3" t="s">
        <v>1</v>
      </c>
      <c r="D13" s="3"/>
      <c r="E13" s="3" t="s">
        <v>3</v>
      </c>
      <c r="F13" s="6" t="s">
        <v>4</v>
      </c>
      <c r="G13" s="6" t="s">
        <v>5</v>
      </c>
      <c r="H13" s="6" t="s">
        <v>6</v>
      </c>
      <c r="I13" s="6" t="s">
        <v>7</v>
      </c>
      <c r="J13" s="11" t="s">
        <v>4</v>
      </c>
      <c r="K13" s="11" t="s">
        <v>5</v>
      </c>
      <c r="L13" s="11" t="s">
        <v>6</v>
      </c>
      <c r="M13" s="11" t="s">
        <v>7</v>
      </c>
      <c r="N13" s="15" t="s">
        <v>4</v>
      </c>
      <c r="O13" s="15" t="s">
        <v>5</v>
      </c>
      <c r="P13" s="15" t="s">
        <v>6</v>
      </c>
      <c r="Q13" s="15" t="s">
        <v>7</v>
      </c>
      <c r="R13" s="13" t="s">
        <v>4</v>
      </c>
      <c r="S13" s="13" t="s">
        <v>5</v>
      </c>
      <c r="T13" s="13" t="s">
        <v>6</v>
      </c>
      <c r="U13" s="13" t="s">
        <v>7</v>
      </c>
      <c r="V13" s="19" t="s">
        <v>4</v>
      </c>
      <c r="W13" s="20" t="s">
        <v>4</v>
      </c>
      <c r="X13" s="21" t="s">
        <v>5</v>
      </c>
      <c r="Y13" s="21" t="s">
        <v>6</v>
      </c>
      <c r="Z13" s="21" t="s">
        <v>7</v>
      </c>
      <c r="AB13" s="24" t="s">
        <v>4</v>
      </c>
      <c r="AC13" s="24" t="s">
        <v>5</v>
      </c>
      <c r="AD13" s="24" t="s">
        <v>6</v>
      </c>
      <c r="AE13" s="24" t="s">
        <v>7</v>
      </c>
    </row>
    <row r="14" spans="1:31" x14ac:dyDescent="0.25">
      <c r="A14" s="1">
        <v>12566</v>
      </c>
      <c r="B14" s="1" t="s">
        <v>16</v>
      </c>
      <c r="C14" s="1" t="s">
        <v>8</v>
      </c>
      <c r="D14" s="1" t="s">
        <v>31</v>
      </c>
      <c r="E14" s="1">
        <f>(280*4)</f>
        <v>1120</v>
      </c>
      <c r="F14" s="7">
        <f>((72-9)*8)</f>
        <v>504</v>
      </c>
      <c r="G14" s="7">
        <f>((64-9)*1)</f>
        <v>55</v>
      </c>
      <c r="H14" s="7">
        <v>42</v>
      </c>
      <c r="I14" s="7">
        <v>25</v>
      </c>
      <c r="J14" s="12">
        <v>40</v>
      </c>
      <c r="K14" s="12">
        <v>25</v>
      </c>
      <c r="L14" s="12">
        <v>20</v>
      </c>
      <c r="M14" s="12">
        <v>0</v>
      </c>
      <c r="N14" s="16">
        <f>((72-9)*11)-AB14</f>
        <v>53</v>
      </c>
      <c r="O14" s="16">
        <f>((64-4)*2)-AC14</f>
        <v>12</v>
      </c>
      <c r="P14" s="16">
        <f>((48-3)*2)-AD14</f>
        <v>12</v>
      </c>
      <c r="Q14" s="16">
        <f>48-AE14</f>
        <v>13</v>
      </c>
      <c r="R14" s="14">
        <f>(4*11)</f>
        <v>44</v>
      </c>
      <c r="S14" s="14">
        <f>(4*2)</f>
        <v>8</v>
      </c>
      <c r="T14" s="14">
        <f>(3*2)</f>
        <v>6</v>
      </c>
      <c r="U14" s="14">
        <v>0</v>
      </c>
      <c r="V14" s="18">
        <v>12</v>
      </c>
      <c r="W14" s="22">
        <v>40</v>
      </c>
      <c r="X14" s="23">
        <v>20</v>
      </c>
      <c r="Y14" s="23">
        <v>10</v>
      </c>
      <c r="Z14" s="23">
        <v>10</v>
      </c>
      <c r="AB14" s="25">
        <f>F14+J14+R14+V14+W14</f>
        <v>640</v>
      </c>
      <c r="AC14" s="25">
        <f>G14+K14+S14+X14</f>
        <v>108</v>
      </c>
      <c r="AD14" s="25">
        <f>H14+L14+T14+Y14</f>
        <v>78</v>
      </c>
      <c r="AE14" s="25">
        <f>I14+Z14</f>
        <v>35</v>
      </c>
    </row>
    <row r="15" spans="1:31" x14ac:dyDescent="0.25">
      <c r="A15" s="1">
        <v>14006</v>
      </c>
      <c r="B15" s="1" t="s">
        <v>19</v>
      </c>
      <c r="C15" s="1" t="s">
        <v>20</v>
      </c>
      <c r="D15" s="1" t="s">
        <v>29</v>
      </c>
      <c r="E15" s="1">
        <f>(280*8)</f>
        <v>2240</v>
      </c>
      <c r="F15" s="7">
        <f>((72-9)*10)</f>
        <v>630</v>
      </c>
      <c r="G15" s="7">
        <v>0</v>
      </c>
      <c r="H15" s="7">
        <v>0</v>
      </c>
      <c r="I15" s="7">
        <v>0</v>
      </c>
      <c r="J15" s="12">
        <v>66</v>
      </c>
      <c r="K15" s="12">
        <v>0</v>
      </c>
      <c r="L15" s="12">
        <v>0</v>
      </c>
      <c r="M15" s="12">
        <v>0</v>
      </c>
      <c r="N15" s="16">
        <f>((72-9)*14)-AB15</f>
        <v>78</v>
      </c>
      <c r="O15" s="16">
        <v>0</v>
      </c>
      <c r="P15" s="16">
        <v>0</v>
      </c>
      <c r="Q15" s="16">
        <v>0</v>
      </c>
      <c r="R15" s="14">
        <f>(4*14)</f>
        <v>56</v>
      </c>
      <c r="S15" s="14">
        <v>0</v>
      </c>
      <c r="T15" s="14">
        <v>0</v>
      </c>
      <c r="U15" s="14">
        <v>0</v>
      </c>
      <c r="V15" s="18">
        <v>12</v>
      </c>
      <c r="W15" s="22">
        <v>40</v>
      </c>
      <c r="X15" s="23">
        <v>0</v>
      </c>
      <c r="Y15" s="23">
        <v>0</v>
      </c>
      <c r="Z15" s="23">
        <v>0</v>
      </c>
      <c r="AB15" s="25">
        <f>F15+J15+R15+V15+W15</f>
        <v>804</v>
      </c>
      <c r="AC15" s="25">
        <v>0</v>
      </c>
      <c r="AD15" s="25">
        <v>0</v>
      </c>
      <c r="AE15" s="25">
        <v>0</v>
      </c>
    </row>
    <row r="16" spans="1:31" x14ac:dyDescent="0.25">
      <c r="A16" s="1">
        <v>12558</v>
      </c>
      <c r="B16" s="1" t="s">
        <v>11</v>
      </c>
      <c r="C16" s="1" t="s">
        <v>12</v>
      </c>
      <c r="D16" s="1" t="s">
        <v>30</v>
      </c>
      <c r="E16" s="1">
        <f>(280*7)</f>
        <v>1960</v>
      </c>
      <c r="F16" s="7">
        <f>((72-9)*6)</f>
        <v>378</v>
      </c>
      <c r="G16" s="7">
        <v>55</v>
      </c>
      <c r="H16" s="7">
        <v>40</v>
      </c>
      <c r="I16" s="7">
        <v>6</v>
      </c>
      <c r="J16" s="12">
        <v>70</v>
      </c>
      <c r="K16" s="12">
        <v>25</v>
      </c>
      <c r="L16" s="12">
        <v>10</v>
      </c>
      <c r="M16" s="12">
        <v>0</v>
      </c>
      <c r="N16" s="16">
        <f>((72-9)*10)-AB16</f>
        <v>90</v>
      </c>
      <c r="O16" s="16">
        <f>((64-4)*2)-AC16</f>
        <v>12</v>
      </c>
      <c r="P16" s="16">
        <f>((48+20)-AD16)</f>
        <v>8.5</v>
      </c>
      <c r="Q16" s="16">
        <v>2</v>
      </c>
      <c r="R16" s="14">
        <f>(4*10)</f>
        <v>40</v>
      </c>
      <c r="S16" s="14">
        <f>(4*2)</f>
        <v>8</v>
      </c>
      <c r="T16" s="14">
        <f>(3*1.5)</f>
        <v>4.5</v>
      </c>
      <c r="U16" s="14">
        <v>0</v>
      </c>
      <c r="V16" s="18">
        <v>12</v>
      </c>
      <c r="W16" s="22">
        <v>40</v>
      </c>
      <c r="X16" s="23">
        <v>20</v>
      </c>
      <c r="Y16" s="23">
        <v>5</v>
      </c>
      <c r="Z16" s="23">
        <v>2</v>
      </c>
      <c r="AB16" s="25">
        <f>F16+J16+R16+V16+W16</f>
        <v>540</v>
      </c>
      <c r="AC16" s="25">
        <f>G16+K16+S16+X16</f>
        <v>108</v>
      </c>
      <c r="AD16" s="26">
        <f>H16+L16+T16+Y16</f>
        <v>59.5</v>
      </c>
      <c r="AE16" s="25">
        <f>I16+Z16</f>
        <v>8</v>
      </c>
    </row>
    <row r="17" spans="1:31" x14ac:dyDescent="0.25">
      <c r="A17" s="1">
        <v>12554</v>
      </c>
      <c r="B17" s="1" t="s">
        <v>23</v>
      </c>
      <c r="C17" s="1" t="s">
        <v>13</v>
      </c>
      <c r="D17" s="1" t="s">
        <v>39</v>
      </c>
      <c r="E17" s="1">
        <v>0</v>
      </c>
      <c r="F17" s="7">
        <v>0</v>
      </c>
      <c r="G17" s="7">
        <f>((72-4)*7)</f>
        <v>476</v>
      </c>
      <c r="H17" s="7">
        <f>((52-3)*4)</f>
        <v>196</v>
      </c>
      <c r="I17" s="7">
        <v>50</v>
      </c>
      <c r="J17" s="12">
        <v>0</v>
      </c>
      <c r="K17" s="12">
        <v>100</v>
      </c>
      <c r="L17" s="12">
        <v>40</v>
      </c>
      <c r="M17" s="12">
        <v>0</v>
      </c>
      <c r="N17" s="16">
        <v>0</v>
      </c>
      <c r="O17" s="16">
        <f>((72-4)*10)-AC17</f>
        <v>34</v>
      </c>
      <c r="P17" s="16">
        <f>((52-3)*6)-AD17</f>
        <v>16.5</v>
      </c>
      <c r="Q17" s="16">
        <f>72-AE17</f>
        <v>12</v>
      </c>
      <c r="R17" s="14">
        <v>0</v>
      </c>
      <c r="S17" s="14">
        <f>(4*10)</f>
        <v>40</v>
      </c>
      <c r="T17" s="14">
        <f>(3*5.5)</f>
        <v>16.5</v>
      </c>
      <c r="U17" s="14">
        <v>0</v>
      </c>
      <c r="V17" s="18">
        <v>0</v>
      </c>
      <c r="W17" s="22">
        <v>0</v>
      </c>
      <c r="X17" s="23">
        <v>30</v>
      </c>
      <c r="Y17" s="23">
        <v>25</v>
      </c>
      <c r="Z17" s="23">
        <v>10</v>
      </c>
      <c r="AB17" s="25">
        <v>0</v>
      </c>
      <c r="AC17" s="25">
        <f>G17+K17+S17+X17</f>
        <v>646</v>
      </c>
      <c r="AD17" s="26">
        <f>H17+L17+T17+Y17</f>
        <v>277.5</v>
      </c>
      <c r="AE17" s="25">
        <f>I17+Z17</f>
        <v>60</v>
      </c>
    </row>
    <row r="18" spans="1:31" x14ac:dyDescent="0.25">
      <c r="A18" s="1">
        <v>12562</v>
      </c>
      <c r="B18" s="1" t="s">
        <v>24</v>
      </c>
      <c r="C18" s="1" t="s">
        <v>17</v>
      </c>
      <c r="D18" s="1" t="s">
        <v>32</v>
      </c>
      <c r="E18" s="1">
        <f>(300*16)</f>
        <v>4800</v>
      </c>
      <c r="F18" s="7">
        <f>((80-10)*4)+35</f>
        <v>315</v>
      </c>
      <c r="G18" s="7">
        <v>0</v>
      </c>
      <c r="H18" s="7">
        <v>0</v>
      </c>
      <c r="I18" s="7">
        <v>0</v>
      </c>
      <c r="J18" s="12">
        <v>20</v>
      </c>
      <c r="K18" s="12">
        <v>0</v>
      </c>
      <c r="L18" s="12">
        <v>0</v>
      </c>
      <c r="M18" s="12">
        <v>0</v>
      </c>
      <c r="N18" s="16">
        <f>((80-10)*6)-AB18</f>
        <v>35</v>
      </c>
      <c r="O18" s="16">
        <v>0</v>
      </c>
      <c r="P18" s="16">
        <v>0</v>
      </c>
      <c r="Q18" s="16">
        <v>0</v>
      </c>
      <c r="R18" s="14">
        <f>(4*6)</f>
        <v>24</v>
      </c>
      <c r="S18" s="14">
        <v>0</v>
      </c>
      <c r="T18" s="14">
        <v>0</v>
      </c>
      <c r="U18" s="14">
        <v>0</v>
      </c>
      <c r="V18" s="18">
        <v>6</v>
      </c>
      <c r="W18" s="22">
        <v>20</v>
      </c>
      <c r="X18" s="23">
        <v>0</v>
      </c>
      <c r="Y18" s="23">
        <v>0</v>
      </c>
      <c r="Z18" s="23">
        <v>0</v>
      </c>
      <c r="AB18" s="25">
        <f>F18+J18+R18+V18+W18</f>
        <v>385</v>
      </c>
      <c r="AC18" s="25">
        <v>0</v>
      </c>
      <c r="AD18" s="25">
        <v>0</v>
      </c>
      <c r="AE18" s="25">
        <v>0</v>
      </c>
    </row>
    <row r="19" spans="1:31" x14ac:dyDescent="0.25">
      <c r="A19" s="1"/>
      <c r="B19" s="1"/>
      <c r="C19" s="5" t="s">
        <v>26</v>
      </c>
      <c r="D19" s="4"/>
      <c r="E19" s="1">
        <f>SUM(E14:E18)</f>
        <v>10120</v>
      </c>
      <c r="F19" s="7">
        <f>SUM(F14:F18)</f>
        <v>1827</v>
      </c>
      <c r="G19" s="7">
        <f t="shared" ref="G19" si="1">SUM(G14:G18)</f>
        <v>586</v>
      </c>
      <c r="H19" s="7">
        <f>SUM(H14:H18)</f>
        <v>278</v>
      </c>
      <c r="I19" s="7">
        <f t="shared" ref="I19" si="2">SUM(I14:I18)</f>
        <v>81</v>
      </c>
      <c r="J19" s="12">
        <f>SUM(J14:J18)</f>
        <v>196</v>
      </c>
      <c r="K19" s="12">
        <f t="shared" ref="K19" si="3">SUM(K14:K18)</f>
        <v>150</v>
      </c>
      <c r="L19" s="12">
        <f t="shared" ref="L19" si="4">SUM(L14:L18)</f>
        <v>70</v>
      </c>
      <c r="M19" s="12">
        <f t="shared" ref="M19" si="5">SUM(M14:M18)</f>
        <v>0</v>
      </c>
      <c r="N19" s="16">
        <f>SUM(N14:N18)</f>
        <v>256</v>
      </c>
      <c r="O19" s="16">
        <f t="shared" ref="O19:Q19" si="6">SUM(O14:O18)</f>
        <v>58</v>
      </c>
      <c r="P19" s="16">
        <f t="shared" si="6"/>
        <v>37</v>
      </c>
      <c r="Q19" s="16">
        <f t="shared" si="6"/>
        <v>27</v>
      </c>
      <c r="R19" s="14">
        <f>SUM(R14:R18)</f>
        <v>164</v>
      </c>
      <c r="S19" s="14">
        <f>SUM(S14:S18)</f>
        <v>56</v>
      </c>
      <c r="T19" s="14">
        <f>SUM(T14:T18)</f>
        <v>27</v>
      </c>
      <c r="U19" s="14">
        <v>0</v>
      </c>
      <c r="V19" s="18">
        <f>SUM(V14:V18)</f>
        <v>42</v>
      </c>
      <c r="W19" s="22">
        <f t="shared" ref="W19:Z19" si="7">SUM(W14:W18)</f>
        <v>140</v>
      </c>
      <c r="X19" s="22">
        <f t="shared" si="7"/>
        <v>70</v>
      </c>
      <c r="Y19" s="22">
        <f t="shared" si="7"/>
        <v>40</v>
      </c>
      <c r="Z19" s="22">
        <f t="shared" si="7"/>
        <v>22</v>
      </c>
      <c r="AB19" s="27">
        <f>SUM(AB14:AB18)</f>
        <v>2369</v>
      </c>
      <c r="AC19" s="27">
        <f t="shared" ref="AC19:AE19" si="8">SUM(AC14:AC18)</f>
        <v>862</v>
      </c>
      <c r="AD19" s="27">
        <f t="shared" si="8"/>
        <v>415</v>
      </c>
      <c r="AE19" s="27">
        <f t="shared" si="8"/>
        <v>103</v>
      </c>
    </row>
    <row r="22" spans="1:31" x14ac:dyDescent="0.25">
      <c r="D22" s="28" t="s">
        <v>44</v>
      </c>
    </row>
    <row r="23" spans="1:31" x14ac:dyDescent="0.25">
      <c r="D23" t="s">
        <v>40</v>
      </c>
    </row>
    <row r="24" spans="1:31" x14ac:dyDescent="0.25">
      <c r="D24" t="s">
        <v>41</v>
      </c>
    </row>
    <row r="25" spans="1:31" x14ac:dyDescent="0.25">
      <c r="D25" t="s">
        <v>43</v>
      </c>
    </row>
    <row r="26" spans="1:31" x14ac:dyDescent="0.25">
      <c r="D26" t="s">
        <v>42</v>
      </c>
    </row>
    <row r="28" spans="1:31" x14ac:dyDescent="0.25">
      <c r="B28" t="s">
        <v>45</v>
      </c>
    </row>
    <row r="30" spans="1:31" x14ac:dyDescent="0.25">
      <c r="B30" s="29" t="s">
        <v>46</v>
      </c>
      <c r="C30" s="29"/>
      <c r="D30" s="29"/>
    </row>
    <row r="31" spans="1:31" x14ac:dyDescent="0.25">
      <c r="B31" t="s">
        <v>47</v>
      </c>
    </row>
    <row r="32" spans="1:31" x14ac:dyDescent="0.25">
      <c r="B32" t="s">
        <v>48</v>
      </c>
    </row>
    <row r="33" spans="2:2" x14ac:dyDescent="0.25">
      <c r="B33" t="s">
        <v>49</v>
      </c>
    </row>
    <row r="34" spans="2:2" x14ac:dyDescent="0.25">
      <c r="B34" t="s">
        <v>50</v>
      </c>
    </row>
    <row r="35" spans="2:2" x14ac:dyDescent="0.25">
      <c r="B35" s="30" t="s">
        <v>51</v>
      </c>
    </row>
    <row r="36" spans="2:2" x14ac:dyDescent="0.25">
      <c r="B36" t="s">
        <v>52</v>
      </c>
    </row>
  </sheetData>
  <mergeCells count="8">
    <mergeCell ref="R12:U12"/>
    <mergeCell ref="W12:Z12"/>
    <mergeCell ref="AB12:AE12"/>
    <mergeCell ref="B30:D30"/>
    <mergeCell ref="J12:M12"/>
    <mergeCell ref="N12:Q12"/>
    <mergeCell ref="F2:I2"/>
    <mergeCell ref="F12:I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2018-11-02T16:46:39Z</dcterms:modified>
</cp:coreProperties>
</file>